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filterPrivacy="1"/>
  <xr:revisionPtr revIDLastSave="0" documentId="8_{DD7C2CB2-3953-4F3A-B0D4-FEE19C074823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Graph" sheetId="3" r:id="rId1"/>
    <sheet name="Calculation" sheetId="1" r:id="rId2"/>
    <sheet name="Attributes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3" l="1"/>
  <c r="C11" i="3"/>
  <c r="C10" i="3"/>
  <c r="C9" i="3"/>
  <c r="C8" i="3"/>
  <c r="C7" i="3"/>
  <c r="C6" i="3"/>
  <c r="C5" i="3"/>
  <c r="C4" i="3"/>
  <c r="C3" i="3"/>
  <c r="C2" i="3"/>
  <c r="H54" i="1"/>
  <c r="H53" i="1"/>
  <c r="H52" i="1"/>
  <c r="H51" i="1"/>
  <c r="H50" i="1"/>
  <c r="H49" i="1"/>
  <c r="H48" i="1"/>
  <c r="H47" i="1"/>
  <c r="H46" i="1"/>
  <c r="H45" i="1"/>
  <c r="H44" i="1"/>
  <c r="G54" i="1"/>
  <c r="G53" i="1"/>
  <c r="G52" i="1"/>
  <c r="G51" i="1"/>
  <c r="G50" i="1"/>
  <c r="G49" i="1"/>
  <c r="G48" i="1"/>
  <c r="G47" i="1"/>
  <c r="G46" i="1"/>
  <c r="G45" i="1"/>
  <c r="G44" i="1"/>
  <c r="F54" i="1"/>
  <c r="F53" i="1"/>
  <c r="F52" i="1"/>
  <c r="F51" i="1"/>
  <c r="F50" i="1"/>
  <c r="F49" i="1"/>
  <c r="F48" i="1"/>
  <c r="F47" i="1"/>
  <c r="F46" i="1"/>
  <c r="F45" i="1"/>
  <c r="F44" i="1"/>
  <c r="E54" i="1"/>
  <c r="E53" i="1"/>
  <c r="E52" i="1"/>
  <c r="E51" i="1"/>
  <c r="E50" i="1"/>
  <c r="E49" i="1"/>
  <c r="E48" i="1"/>
  <c r="E47" i="1"/>
  <c r="E46" i="1"/>
  <c r="E45" i="1"/>
  <c r="E44" i="1"/>
  <c r="D54" i="1"/>
  <c r="D53" i="1"/>
  <c r="D52" i="1"/>
  <c r="D51" i="1"/>
  <c r="D50" i="1"/>
  <c r="D49" i="1"/>
  <c r="D48" i="1"/>
  <c r="D47" i="1"/>
  <c r="D46" i="1"/>
  <c r="D45" i="1"/>
  <c r="D44" i="1"/>
  <c r="C54" i="1"/>
  <c r="C53" i="1"/>
  <c r="C52" i="1"/>
  <c r="C51" i="1"/>
  <c r="C50" i="1"/>
  <c r="C49" i="1"/>
  <c r="C48" i="1"/>
  <c r="C47" i="1"/>
  <c r="C46" i="1"/>
  <c r="C45" i="1"/>
  <c r="C44" i="1"/>
  <c r="E20" i="1"/>
  <c r="E19" i="1"/>
  <c r="E18" i="1"/>
  <c r="E17" i="1"/>
  <c r="E16" i="1"/>
  <c r="E27" i="1"/>
  <c r="E21" i="1"/>
  <c r="E15" i="1"/>
  <c r="E14" i="1"/>
  <c r="E13" i="1"/>
  <c r="E11" i="1"/>
  <c r="E12" i="1" s="1"/>
  <c r="C27" i="1"/>
  <c r="E24" i="1" l="1"/>
  <c r="E25" i="1" s="1"/>
  <c r="C12" i="1" l="1"/>
  <c r="C21" i="1"/>
  <c r="C13" i="1"/>
  <c r="C11" i="1"/>
  <c r="C15" i="1"/>
  <c r="C14" i="1"/>
  <c r="C19" i="1" s="1"/>
  <c r="C17" i="1" l="1"/>
  <c r="C18" i="1"/>
  <c r="C24" i="1" s="1"/>
  <c r="C25" i="1" s="1"/>
  <c r="C16" i="1"/>
  <c r="C20" i="1" s="1"/>
  <c r="C30" i="1" s="1"/>
  <c r="D30" i="1" l="1"/>
  <c r="F30" i="1" s="1"/>
  <c r="G30" i="1" s="1"/>
  <c r="H30" i="1" s="1"/>
  <c r="B2" i="3" s="1"/>
  <c r="E30" i="1"/>
  <c r="C37" i="1"/>
  <c r="C38" i="1"/>
  <c r="C39" i="1"/>
  <c r="C33" i="1"/>
  <c r="C35" i="1"/>
  <c r="C36" i="1"/>
  <c r="C40" i="1"/>
  <c r="C31" i="1"/>
  <c r="C32" i="1"/>
  <c r="C34" i="1"/>
  <c r="D32" i="1" l="1"/>
  <c r="E32" i="1"/>
  <c r="D31" i="1"/>
  <c r="F31" i="1" s="1"/>
  <c r="G31" i="1" s="1"/>
  <c r="H31" i="1" s="1"/>
  <c r="B3" i="3" s="1"/>
  <c r="E31" i="1"/>
  <c r="D40" i="1"/>
  <c r="E40" i="1"/>
  <c r="D36" i="1"/>
  <c r="E36" i="1"/>
  <c r="D35" i="1"/>
  <c r="E35" i="1"/>
  <c r="D33" i="1"/>
  <c r="E33" i="1"/>
  <c r="D39" i="1"/>
  <c r="E39" i="1"/>
  <c r="D38" i="1"/>
  <c r="F38" i="1" s="1"/>
  <c r="G38" i="1" s="1"/>
  <c r="H38" i="1" s="1"/>
  <c r="B10" i="3" s="1"/>
  <c r="E38" i="1"/>
  <c r="D34" i="1"/>
  <c r="E34" i="1"/>
  <c r="D37" i="1"/>
  <c r="E37" i="1"/>
  <c r="F34" i="1" l="1"/>
  <c r="G34" i="1" s="1"/>
  <c r="H34" i="1" s="1"/>
  <c r="B6" i="3" s="1"/>
  <c r="F39" i="1"/>
  <c r="G39" i="1" s="1"/>
  <c r="H39" i="1" s="1"/>
  <c r="B11" i="3" s="1"/>
  <c r="F32" i="1"/>
  <c r="G32" i="1" s="1"/>
  <c r="H32" i="1" s="1"/>
  <c r="B4" i="3" s="1"/>
  <c r="F33" i="1"/>
  <c r="G33" i="1" s="1"/>
  <c r="H33" i="1" s="1"/>
  <c r="B5" i="3" s="1"/>
  <c r="F37" i="1"/>
  <c r="G37" i="1" s="1"/>
  <c r="H37" i="1" s="1"/>
  <c r="B9" i="3" s="1"/>
  <c r="F36" i="1"/>
  <c r="G36" i="1" s="1"/>
  <c r="H36" i="1" s="1"/>
  <c r="B8" i="3" s="1"/>
  <c r="F40" i="1"/>
  <c r="G40" i="1" s="1"/>
  <c r="H40" i="1" s="1"/>
  <c r="B12" i="3" s="1"/>
  <c r="F35" i="1"/>
  <c r="G35" i="1" s="1"/>
  <c r="H35" i="1" s="1"/>
  <c r="B7" i="3" s="1"/>
</calcChain>
</file>

<file path=xl/sharedStrings.xml><?xml version="1.0" encoding="utf-8"?>
<sst xmlns="http://schemas.openxmlformats.org/spreadsheetml/2006/main" count="63" uniqueCount="41">
  <si>
    <t>Type</t>
  </si>
  <si>
    <t>Size</t>
  </si>
  <si>
    <t>DP</t>
  </si>
  <si>
    <t>DQ</t>
  </si>
  <si>
    <t>Jet</t>
  </si>
  <si>
    <t>Tubes</t>
  </si>
  <si>
    <t>Jets</t>
  </si>
  <si>
    <t>K98</t>
  </si>
  <si>
    <t>Length</t>
  </si>
  <si>
    <t>K23</t>
  </si>
  <si>
    <t>Conical length - C</t>
  </si>
  <si>
    <t>Base - A</t>
  </si>
  <si>
    <t>Tip - B</t>
  </si>
  <si>
    <t xml:space="preserve">Jet </t>
  </si>
  <si>
    <t>Position</t>
  </si>
  <si>
    <t>Notch</t>
  </si>
  <si>
    <t>Nozzle area</t>
  </si>
  <si>
    <t>Attributes</t>
  </si>
  <si>
    <t>Nozzle diameter</t>
  </si>
  <si>
    <t>Tip area</t>
  </si>
  <si>
    <t>Base area</t>
  </si>
  <si>
    <t>Nozzle length adder</t>
  </si>
  <si>
    <t xml:space="preserve">Notch </t>
  </si>
  <si>
    <t>mm</t>
  </si>
  <si>
    <t>Gas valve hole depth</t>
  </si>
  <si>
    <t>Needle stickout</t>
  </si>
  <si>
    <t>Diffuser to nozzle clearance gap</t>
  </si>
  <si>
    <t>Unused tip (above 1st notch)</t>
  </si>
  <si>
    <t>Needle tip depth into nozzle - 0 opening</t>
  </si>
  <si>
    <t>Length into nozzle</t>
  </si>
  <si>
    <t>Conical part?</t>
  </si>
  <si>
    <t>Needle area</t>
  </si>
  <si>
    <t>Conical ratio</t>
  </si>
  <si>
    <t>Differential through conical area</t>
  </si>
  <si>
    <t>Jet area</t>
  </si>
  <si>
    <t>Main Jet</t>
  </si>
  <si>
    <t>Open area for fuel passage (mechanical unconstrained)</t>
  </si>
  <si>
    <t>Open area for fuel passage (mechanical constrained)</t>
  </si>
  <si>
    <t>Jettting 1</t>
  </si>
  <si>
    <t>Jetting 2</t>
  </si>
  <si>
    <t>Jetting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</si>
</sst>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71" formatCode="0.0000"/>
    <numFmt numFmtId="181" formatCode="_(* #,##0.000000000_);_(* \(#,##0.0000000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0" fillId="0" borderId="2" xfId="0" applyBorder="1"/>
    <xf numFmtId="2" fontId="0" fillId="0" borderId="0" xfId="0" applyNumberFormat="1"/>
    <xf numFmtId="0" fontId="0" fillId="2" borderId="0" xfId="0" applyFill="1"/>
    <xf numFmtId="0" fontId="0" fillId="0" borderId="0" xfId="0" applyAlignment="1">
      <alignment horizontal="left"/>
    </xf>
    <xf numFmtId="9" fontId="0" fillId="0" borderId="0" xfId="0" applyNumberFormat="1"/>
    <xf numFmtId="0" fontId="0" fillId="2" borderId="0" xfId="0" applyFill="1" applyAlignment="1">
      <alignment horizontal="left"/>
    </xf>
    <xf numFmtId="43" fontId="0" fillId="0" borderId="0" xfId="1" applyNumberFormat="1" applyFont="1"/>
    <xf numFmtId="0" fontId="0" fillId="2" borderId="3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3" borderId="4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71" fontId="0" fillId="0" borderId="0" xfId="0" applyNumberFormat="1" applyBorder="1"/>
    <xf numFmtId="0" fontId="0" fillId="0" borderId="0" xfId="0" applyBorder="1"/>
    <xf numFmtId="9" fontId="0" fillId="0" borderId="0" xfId="2" applyFont="1" applyBorder="1"/>
    <xf numFmtId="0" fontId="0" fillId="0" borderId="8" xfId="0" applyBorder="1"/>
    <xf numFmtId="9" fontId="0" fillId="0" borderId="7" xfId="0" applyNumberFormat="1" applyBorder="1"/>
    <xf numFmtId="9" fontId="0" fillId="0" borderId="9" xfId="0" applyNumberFormat="1" applyBorder="1"/>
    <xf numFmtId="0" fontId="0" fillId="0" borderId="10" xfId="0" applyBorder="1"/>
    <xf numFmtId="9" fontId="0" fillId="0" borderId="10" xfId="2" applyFont="1" applyBorder="1"/>
    <xf numFmtId="0" fontId="0" fillId="0" borderId="11" xfId="0" applyBorder="1"/>
    <xf numFmtId="181" fontId="0" fillId="0" borderId="8" xfId="0" applyNumberForma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Fuel</a:t>
            </a:r>
            <a:r>
              <a:rPr lang="en-US" baseline="0"/>
              <a:t> passage area</a:t>
            </a:r>
            <a:endParaRPr lang="en-US"/>
          </a:p>
        </c:rich>
      </c:tx>
      <c:layout>
        <c:manualLayout>
          <c:xMode val="edge"/>
          <c:yMode val="edge"/>
          <c:x val="0.43260252361502943"/>
          <c:y val="1.41307079357515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Graph!$B$1</c:f>
              <c:strCache>
                <c:ptCount val="1"/>
                <c:pt idx="0">
                  <c:v>Jettting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Graph!$A$2:$A$12</c:f>
              <c:numCache>
                <c:formatCode>0%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Graph!$B$2:$B$12</c:f>
              <c:numCache>
                <c:formatCode>General</c:formatCode>
                <c:ptCount val="11"/>
                <c:pt idx="0">
                  <c:v>0.7323046290000006</c:v>
                </c:pt>
                <c:pt idx="1">
                  <c:v>0.7323046290000006</c:v>
                </c:pt>
                <c:pt idx="2">
                  <c:v>0.90528363936585432</c:v>
                </c:pt>
                <c:pt idx="3">
                  <c:v>0.99177314454878118</c:v>
                </c:pt>
                <c:pt idx="4">
                  <c:v>1.1647521549146349</c:v>
                </c:pt>
                <c:pt idx="5">
                  <c:v>1.3377311652804886</c:v>
                </c:pt>
                <c:pt idx="6">
                  <c:v>1.5107101756463424</c:v>
                </c:pt>
                <c:pt idx="7">
                  <c:v>1.6836891860121956</c:v>
                </c:pt>
                <c:pt idx="8">
                  <c:v>1.8566681963780494</c:v>
                </c:pt>
                <c:pt idx="9">
                  <c:v>2.0106176000000002</c:v>
                </c:pt>
                <c:pt idx="10">
                  <c:v>2.0106176000000002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1C-4F1B-862F-5A008BEAFB47}"/>
            </c:ext>
          </c:extLst>
        </c:ser>
        <c:ser>
          <c:idx val="1"/>
          <c:order val="1"/>
          <c:tx>
            <c:strRef>
              <c:f>Graph!$C$1</c:f>
              <c:strCache>
                <c:ptCount val="1"/>
                <c:pt idx="0">
                  <c:v>Jetting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Graph!$A$2:$A$12</c:f>
              <c:numCache>
                <c:formatCode>0%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Graph!$C$2:$C$12</c:f>
              <c:numCache>
                <c:formatCode>General</c:formatCode>
                <c:ptCount val="11"/>
                <c:pt idx="0">
                  <c:v>0.7323046290000006</c:v>
                </c:pt>
                <c:pt idx="1">
                  <c:v>0.7323046290000006</c:v>
                </c:pt>
                <c:pt idx="2">
                  <c:v>0.95745191233333404</c:v>
                </c:pt>
                <c:pt idx="3">
                  <c:v>1.0418821435833339</c:v>
                </c:pt>
                <c:pt idx="4">
                  <c:v>1.2107426060833335</c:v>
                </c:pt>
                <c:pt idx="5">
                  <c:v>1.379603068583334</c:v>
                </c:pt>
                <c:pt idx="6">
                  <c:v>1.5484635310833337</c:v>
                </c:pt>
                <c:pt idx="7">
                  <c:v>1.7173239935833338</c:v>
                </c:pt>
                <c:pt idx="8">
                  <c:v>1.8861844560833338</c:v>
                </c:pt>
                <c:pt idx="9">
                  <c:v>2.0106176000000002</c:v>
                </c:pt>
                <c:pt idx="10">
                  <c:v>2.0106176000000002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1C-4F1B-862F-5A008BEAF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2203535"/>
        <c:axId val="2095002687"/>
      </c:lineChart>
      <c:catAx>
        <c:axId val="202220353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5002687"/>
        <c:crosses val="autoZero"/>
        <c:auto val="1"/>
        <c:lblAlgn val="ctr"/>
        <c:lblOffset val="100"/>
        <c:noMultiLvlLbl val="0"/>
      </c:catAx>
      <c:valAx>
        <c:axId val="20950026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22035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257174</xdr:colOff>
      <xdr:row>0</xdr:row>
      <xdr:rowOff>128586</xdr:rowOff>
    </xdr:from>
    <xdr:to>
      <xdr:col>19</xdr:col>
      <xdr:colOff>19049</xdr:colOff>
      <xdr:row>33</xdr:row>
      <xdr:rowOff>133349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1E7F7F3-E06E-41B2-A2D9-693BB5A0A4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238125</xdr:colOff>
      <xdr:row>1</xdr:row>
      <xdr:rowOff>38100</xdr:rowOff>
    </xdr:from>
    <xdr:to>
      <xdr:col>15</xdr:col>
      <xdr:colOff>581025</xdr:colOff>
      <xdr:row>34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2D4F235-661D-4F6B-9401-5D2DC9D5A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38125"/>
          <a:ext cx="3390900" cy="4838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3</xdr:row>
      <xdr:rowOff>0</xdr:rowOff>
    </xdr:from>
    <xdr:to>
      <xdr:col>18</xdr:col>
      <xdr:colOff>342900</xdr:colOff>
      <xdr:row>28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C1099C-331C-41AA-8A4C-F0387D8A7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571500"/>
          <a:ext cx="3390900" cy="4838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95589-819A-4B0F-A773-1220DC594FE6}">
  <dimension ref="A1:C12"/>
  <sheetViews>
    <sheetView tabSelected="1" workbookViewId="0">
      <selection activeCell="B25" sqref="B25"/>
    </sheetView>
  </sheetViews>
  <sheetFormatPr defaultRowHeight="15" x14ac:dyDescent="0.25"/>
  <sheetData>
    <row r="1" spans="1:3" x14ac:dyDescent="0.25">
      <c r="B1" t="s">
        <v>38</v>
      </c>
      <c r="C1" t="s">
        <v>39</v>
      </c>
    </row>
    <row r="2" spans="1:3" x14ac:dyDescent="0.25">
      <c r="A2" s="6">
        <v>0</v>
      </c>
      <c r="B2">
        <f>Calculation!H30</f>
        <v>0.7323046290000006</v>
      </c>
      <c r="C2">
        <f>Calculation!H44</f>
        <v>0.7323046290000006</v>
      </c>
    </row>
    <row r="3" spans="1:3" x14ac:dyDescent="0.25">
      <c r="A3" s="6">
        <v>0.1</v>
      </c>
      <c r="B3">
        <f>Calculation!H31</f>
        <v>0.7323046290000006</v>
      </c>
      <c r="C3">
        <f>Calculation!H45</f>
        <v>0.7323046290000006</v>
      </c>
    </row>
    <row r="4" spans="1:3" x14ac:dyDescent="0.25">
      <c r="A4" s="6">
        <v>0.2</v>
      </c>
      <c r="B4">
        <f>Calculation!H32</f>
        <v>0.90528363936585432</v>
      </c>
      <c r="C4">
        <f>Calculation!H46</f>
        <v>0.95745191233333404</v>
      </c>
    </row>
    <row r="5" spans="1:3" x14ac:dyDescent="0.25">
      <c r="A5" s="6">
        <v>0.3</v>
      </c>
      <c r="B5">
        <f>Calculation!H33</f>
        <v>0.99177314454878118</v>
      </c>
      <c r="C5">
        <f>Calculation!H47</f>
        <v>1.0418821435833339</v>
      </c>
    </row>
    <row r="6" spans="1:3" x14ac:dyDescent="0.25">
      <c r="A6" s="6">
        <v>0.4</v>
      </c>
      <c r="B6">
        <f>Calculation!H34</f>
        <v>1.1647521549146349</v>
      </c>
      <c r="C6">
        <f>Calculation!H48</f>
        <v>1.2107426060833335</v>
      </c>
    </row>
    <row r="7" spans="1:3" x14ac:dyDescent="0.25">
      <c r="A7" s="6">
        <v>0.5</v>
      </c>
      <c r="B7">
        <f>Calculation!H35</f>
        <v>1.3377311652804886</v>
      </c>
      <c r="C7">
        <f>Calculation!H49</f>
        <v>1.379603068583334</v>
      </c>
    </row>
    <row r="8" spans="1:3" x14ac:dyDescent="0.25">
      <c r="A8" s="6">
        <v>0.6</v>
      </c>
      <c r="B8">
        <f>Calculation!H36</f>
        <v>1.5107101756463424</v>
      </c>
      <c r="C8">
        <f>Calculation!H50</f>
        <v>1.5484635310833337</v>
      </c>
    </row>
    <row r="9" spans="1:3" x14ac:dyDescent="0.25">
      <c r="A9" s="6">
        <v>0.7</v>
      </c>
      <c r="B9">
        <f>Calculation!H37</f>
        <v>1.6836891860121956</v>
      </c>
      <c r="C9">
        <f>Calculation!H51</f>
        <v>1.7173239935833338</v>
      </c>
    </row>
    <row r="10" spans="1:3" x14ac:dyDescent="0.25">
      <c r="A10" s="6">
        <v>0.8</v>
      </c>
      <c r="B10">
        <f>Calculation!H38</f>
        <v>1.8566681963780494</v>
      </c>
      <c r="C10">
        <f>Calculation!H52</f>
        <v>1.8861844560833338</v>
      </c>
    </row>
    <row r="11" spans="1:3" x14ac:dyDescent="0.25">
      <c r="A11" s="6">
        <v>0.9</v>
      </c>
      <c r="B11">
        <f>Calculation!H39</f>
        <v>2.0106176000000002</v>
      </c>
      <c r="C11">
        <f>Calculation!H53</f>
        <v>2.0106176000000002</v>
      </c>
    </row>
    <row r="12" spans="1:3" x14ac:dyDescent="0.25">
      <c r="A12" s="6">
        <v>1</v>
      </c>
      <c r="B12">
        <f>Calculation!H40</f>
        <v>2.0106176000000002</v>
      </c>
      <c r="C12">
        <f>Calculation!H54</f>
        <v>2.0106176000000002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54"/>
  <sheetViews>
    <sheetView workbookViewId="0">
      <selection activeCell="C5" sqref="C5"/>
    </sheetView>
  </sheetViews>
  <sheetFormatPr defaultRowHeight="15" x14ac:dyDescent="0.25"/>
  <cols>
    <col min="2" max="2" width="37.42578125" bestFit="1" customWidth="1"/>
    <col min="3" max="3" width="20.5703125" customWidth="1"/>
    <col min="4" max="4" width="12.42578125" bestFit="1" customWidth="1"/>
    <col min="5" max="5" width="12.42578125" customWidth="1"/>
    <col min="6" max="6" width="11.85546875" bestFit="1" customWidth="1"/>
    <col min="7" max="8" width="51" bestFit="1" customWidth="1"/>
    <col min="17" max="17" width="26.85546875" bestFit="1" customWidth="1"/>
  </cols>
  <sheetData>
    <row r="1" spans="2:19" ht="15.75" thickBot="1" x14ac:dyDescent="0.3">
      <c r="C1" t="s">
        <v>40</v>
      </c>
      <c r="E1" t="s">
        <v>39</v>
      </c>
    </row>
    <row r="2" spans="2:19" ht="15.75" thickBot="1" x14ac:dyDescent="0.3">
      <c r="B2" s="2" t="s">
        <v>0</v>
      </c>
      <c r="C2" s="9" t="s">
        <v>2</v>
      </c>
      <c r="D2" s="1" t="s">
        <v>2</v>
      </c>
      <c r="E2" s="10" t="s">
        <v>2</v>
      </c>
      <c r="F2" s="1" t="s">
        <v>3</v>
      </c>
      <c r="Q2" t="s">
        <v>27</v>
      </c>
      <c r="R2">
        <v>1</v>
      </c>
      <c r="S2" t="s">
        <v>23</v>
      </c>
    </row>
    <row r="3" spans="2:19" ht="15.75" thickBot="1" x14ac:dyDescent="0.3">
      <c r="B3" s="2" t="s">
        <v>1</v>
      </c>
      <c r="C3" s="9">
        <v>268</v>
      </c>
      <c r="E3" s="10">
        <v>268</v>
      </c>
      <c r="Q3" t="s">
        <v>22</v>
      </c>
      <c r="R3">
        <v>1</v>
      </c>
      <c r="S3" t="s">
        <v>23</v>
      </c>
    </row>
    <row r="4" spans="2:19" x14ac:dyDescent="0.25">
      <c r="E4" s="5"/>
      <c r="Q4" t="s">
        <v>24</v>
      </c>
      <c r="R4">
        <v>24</v>
      </c>
      <c r="S4" t="s">
        <v>23</v>
      </c>
    </row>
    <row r="5" spans="2:19" x14ac:dyDescent="0.25">
      <c r="B5" t="s">
        <v>4</v>
      </c>
      <c r="C5" s="4" t="s">
        <v>7</v>
      </c>
      <c r="E5" s="7" t="s">
        <v>9</v>
      </c>
    </row>
    <row r="6" spans="2:19" x14ac:dyDescent="0.25">
      <c r="B6" t="s">
        <v>15</v>
      </c>
      <c r="C6" s="7">
        <v>2</v>
      </c>
      <c r="E6" s="7">
        <v>2</v>
      </c>
    </row>
    <row r="7" spans="2:19" x14ac:dyDescent="0.25">
      <c r="E7" s="5"/>
    </row>
    <row r="8" spans="2:19" x14ac:dyDescent="0.25">
      <c r="B8" t="s">
        <v>35</v>
      </c>
      <c r="C8" s="7">
        <v>160</v>
      </c>
      <c r="E8" s="7">
        <v>160</v>
      </c>
    </row>
    <row r="10" spans="2:19" x14ac:dyDescent="0.25">
      <c r="B10" t="s">
        <v>17</v>
      </c>
    </row>
    <row r="11" spans="2:19" x14ac:dyDescent="0.25">
      <c r="B11" t="s">
        <v>18</v>
      </c>
      <c r="C11">
        <f>C3/100</f>
        <v>2.68</v>
      </c>
      <c r="E11">
        <f>E3/100</f>
        <v>2.68</v>
      </c>
    </row>
    <row r="12" spans="2:19" x14ac:dyDescent="0.25">
      <c r="B12" t="s">
        <v>16</v>
      </c>
      <c r="C12">
        <f>POWER((C11/2),2)*3.14159</f>
        <v>5.6410390040000005</v>
      </c>
      <c r="E12">
        <f>POWER((E11/2),2)*3.14159</f>
        <v>5.6410390040000005</v>
      </c>
    </row>
    <row r="13" spans="2:19" x14ac:dyDescent="0.25">
      <c r="B13" t="s">
        <v>21</v>
      </c>
      <c r="C13">
        <f>IF(C2="DP",0,2)</f>
        <v>0</v>
      </c>
      <c r="E13">
        <f>IF(E2="DP",0,2)</f>
        <v>0</v>
      </c>
    </row>
    <row r="14" spans="2:19" x14ac:dyDescent="0.25">
      <c r="B14" t="s">
        <v>13</v>
      </c>
      <c r="C14" t="str">
        <f>C5</f>
        <v>K98</v>
      </c>
      <c r="E14" t="str">
        <f>E5</f>
        <v>K23</v>
      </c>
    </row>
    <row r="15" spans="2:19" x14ac:dyDescent="0.25">
      <c r="B15" t="s">
        <v>14</v>
      </c>
      <c r="C15">
        <f>C6</f>
        <v>2</v>
      </c>
      <c r="E15">
        <f>E6</f>
        <v>2</v>
      </c>
    </row>
    <row r="16" spans="2:19" x14ac:dyDescent="0.25">
      <c r="B16" t="s">
        <v>8</v>
      </c>
      <c r="C16">
        <f>VLOOKUP(C14,Attributes!A5:E186,2,FALSE)</f>
        <v>73.5</v>
      </c>
      <c r="E16">
        <f>VLOOKUP(E14,Attributes!A5:E186,2,FALSE)</f>
        <v>73.5</v>
      </c>
    </row>
    <row r="17" spans="2:8" x14ac:dyDescent="0.25">
      <c r="B17" t="s">
        <v>11</v>
      </c>
      <c r="C17" s="3">
        <f>VLOOKUP(C14,Attributes!A5:E186,3,FALSE)</f>
        <v>2.52</v>
      </c>
      <c r="E17" s="3">
        <f>VLOOKUP(E14,Attributes!A5:E186,3,FALSE)</f>
        <v>2.5</v>
      </c>
    </row>
    <row r="18" spans="2:8" x14ac:dyDescent="0.25">
      <c r="B18" t="s">
        <v>12</v>
      </c>
      <c r="C18" s="3">
        <f>VLOOKUP(C14,Attributes!A5:E186,4,FALSE)</f>
        <v>1.8</v>
      </c>
      <c r="E18" s="3">
        <f>VLOOKUP(E14,Attributes!A5:E186,4,FALSE)</f>
        <v>1.8</v>
      </c>
    </row>
    <row r="19" spans="2:8" x14ac:dyDescent="0.25">
      <c r="B19" t="s">
        <v>10</v>
      </c>
      <c r="C19">
        <f>VLOOKUP(C14,Attributes!A5:E186,5,FALSE)</f>
        <v>41</v>
      </c>
      <c r="E19">
        <f>VLOOKUP(E14,Attributes!A5:E186,5,FALSE)</f>
        <v>42</v>
      </c>
    </row>
    <row r="20" spans="2:8" x14ac:dyDescent="0.25">
      <c r="B20" t="s">
        <v>25</v>
      </c>
      <c r="C20">
        <f>C16-R4-R2-(C15*R3)</f>
        <v>46.5</v>
      </c>
      <c r="E20">
        <f>E16-R4-R2-(E15*R3)</f>
        <v>46.5</v>
      </c>
    </row>
    <row r="21" spans="2:8" x14ac:dyDescent="0.25">
      <c r="B21" t="s">
        <v>26</v>
      </c>
      <c r="C21">
        <f>1+C13</f>
        <v>1</v>
      </c>
      <c r="E21">
        <f>1+E13</f>
        <v>1</v>
      </c>
    </row>
    <row r="23" spans="2:8" x14ac:dyDescent="0.25">
      <c r="B23" t="s">
        <v>20</v>
      </c>
      <c r="C23">
        <v>4.9087343749999999</v>
      </c>
      <c r="E23">
        <v>4.9087343749999999</v>
      </c>
    </row>
    <row r="24" spans="2:8" x14ac:dyDescent="0.25">
      <c r="B24" t="s">
        <v>19</v>
      </c>
      <c r="C24">
        <f>POWER((C18/2),2)*3.14159</f>
        <v>2.5446879</v>
      </c>
      <c r="E24">
        <f>POWER((E18/2),2)*3.14159</f>
        <v>2.5446879</v>
      </c>
    </row>
    <row r="25" spans="2:8" x14ac:dyDescent="0.25">
      <c r="B25" t="s">
        <v>33</v>
      </c>
      <c r="C25">
        <f>C23-C24</f>
        <v>2.3640464749999999</v>
      </c>
      <c r="E25">
        <f>E23-E24</f>
        <v>2.3640464749999999</v>
      </c>
    </row>
    <row r="27" spans="2:8" x14ac:dyDescent="0.25">
      <c r="B27" t="s">
        <v>34</v>
      </c>
      <c r="C27" s="8">
        <f>POWER((C8/100/2),2)*3.14159</f>
        <v>2.0106176000000002</v>
      </c>
      <c r="E27" s="8">
        <f>POWER((E8/100/2),2)*3.14159</f>
        <v>2.0106176000000002</v>
      </c>
    </row>
    <row r="28" spans="2:8" ht="15.75" thickBot="1" x14ac:dyDescent="0.3"/>
    <row r="29" spans="2:8" x14ac:dyDescent="0.25">
      <c r="B29" s="11" t="s">
        <v>40</v>
      </c>
      <c r="C29" s="12" t="s">
        <v>29</v>
      </c>
      <c r="D29" s="12" t="s">
        <v>30</v>
      </c>
      <c r="E29" s="12" t="s">
        <v>32</v>
      </c>
      <c r="F29" s="12" t="s">
        <v>31</v>
      </c>
      <c r="G29" s="12" t="s">
        <v>36</v>
      </c>
      <c r="H29" s="13" t="s">
        <v>37</v>
      </c>
    </row>
    <row r="30" spans="2:8" x14ac:dyDescent="0.25">
      <c r="B30" s="14" t="s">
        <v>28</v>
      </c>
      <c r="C30" s="15">
        <f>C20-C21</f>
        <v>45.5</v>
      </c>
      <c r="D30" s="16" t="b">
        <f>C30&lt;$C$19</f>
        <v>0</v>
      </c>
      <c r="E30" s="17">
        <f t="shared" ref="E30:E40" si="0">C30/$C$19</f>
        <v>1.1097560975609757</v>
      </c>
      <c r="F30" s="16">
        <f t="shared" ref="F30:F31" si="1">IF(D30=FALSE,$C$23,($C$24+(E30*$C$25)))</f>
        <v>4.9087343749999999</v>
      </c>
      <c r="G30" s="16">
        <f>$C$12-F30</f>
        <v>0.7323046290000006</v>
      </c>
      <c r="H30" s="18">
        <f>MIN(G30,$C$27)</f>
        <v>0.7323046290000006</v>
      </c>
    </row>
    <row r="31" spans="2:8" x14ac:dyDescent="0.25">
      <c r="B31" s="19">
        <v>0.1</v>
      </c>
      <c r="C31" s="16">
        <f>$C$30-(B31*30)</f>
        <v>42.5</v>
      </c>
      <c r="D31" s="16" t="b">
        <f t="shared" ref="D31:D40" si="2">C31&lt;$C$19</f>
        <v>0</v>
      </c>
      <c r="E31" s="17">
        <f t="shared" si="0"/>
        <v>1.0365853658536586</v>
      </c>
      <c r="F31" s="16">
        <f t="shared" si="1"/>
        <v>4.9087343749999999</v>
      </c>
      <c r="G31" s="16">
        <f t="shared" ref="G31:G40" si="3">$C$12-F31</f>
        <v>0.7323046290000006</v>
      </c>
      <c r="H31" s="18">
        <f t="shared" ref="H31:H40" si="4">MIN(G31,$C$27)</f>
        <v>0.7323046290000006</v>
      </c>
    </row>
    <row r="32" spans="2:8" x14ac:dyDescent="0.25">
      <c r="B32" s="19">
        <v>0.25</v>
      </c>
      <c r="C32" s="16">
        <f t="shared" ref="C32:C40" si="5">$C$30-(B32*30)</f>
        <v>38</v>
      </c>
      <c r="D32" s="16" t="b">
        <f t="shared" si="2"/>
        <v>1</v>
      </c>
      <c r="E32" s="17">
        <f>C32/$C$19</f>
        <v>0.92682926829268297</v>
      </c>
      <c r="F32" s="16">
        <f>IF(D32=FALSE,$C$23,($C$24+(E32*$C$25)))</f>
        <v>4.7357553646341461</v>
      </c>
      <c r="G32" s="16">
        <f t="shared" si="3"/>
        <v>0.90528363936585432</v>
      </c>
      <c r="H32" s="18">
        <f t="shared" si="4"/>
        <v>0.90528363936585432</v>
      </c>
    </row>
    <row r="33" spans="2:8" x14ac:dyDescent="0.25">
      <c r="B33" s="19">
        <v>0.3</v>
      </c>
      <c r="C33" s="16">
        <f t="shared" si="5"/>
        <v>36.5</v>
      </c>
      <c r="D33" s="16" t="b">
        <f t="shared" si="2"/>
        <v>1</v>
      </c>
      <c r="E33" s="17">
        <f t="shared" si="0"/>
        <v>0.8902439024390244</v>
      </c>
      <c r="F33" s="16">
        <f t="shared" ref="F33:F40" si="6">IF(D33=FALSE,$C$23,($C$24+(E33*$C$25)))</f>
        <v>4.6492658594512193</v>
      </c>
      <c r="G33" s="16">
        <f t="shared" si="3"/>
        <v>0.99177314454878118</v>
      </c>
      <c r="H33" s="18">
        <f t="shared" si="4"/>
        <v>0.99177314454878118</v>
      </c>
    </row>
    <row r="34" spans="2:8" x14ac:dyDescent="0.25">
      <c r="B34" s="19">
        <v>0.4</v>
      </c>
      <c r="C34" s="16">
        <f t="shared" si="5"/>
        <v>33.5</v>
      </c>
      <c r="D34" s="16" t="b">
        <f t="shared" si="2"/>
        <v>1</v>
      </c>
      <c r="E34" s="17">
        <f t="shared" si="0"/>
        <v>0.81707317073170727</v>
      </c>
      <c r="F34" s="16">
        <f t="shared" si="6"/>
        <v>4.4762868490853656</v>
      </c>
      <c r="G34" s="16">
        <f t="shared" si="3"/>
        <v>1.1647521549146349</v>
      </c>
      <c r="H34" s="18">
        <f t="shared" si="4"/>
        <v>1.1647521549146349</v>
      </c>
    </row>
    <row r="35" spans="2:8" x14ac:dyDescent="0.25">
      <c r="B35" s="19">
        <v>0.5</v>
      </c>
      <c r="C35" s="16">
        <f t="shared" si="5"/>
        <v>30.5</v>
      </c>
      <c r="D35" s="16" t="b">
        <f t="shared" si="2"/>
        <v>1</v>
      </c>
      <c r="E35" s="17">
        <f t="shared" si="0"/>
        <v>0.74390243902439024</v>
      </c>
      <c r="F35" s="16">
        <f t="shared" si="6"/>
        <v>4.3033078387195118</v>
      </c>
      <c r="G35" s="16">
        <f t="shared" si="3"/>
        <v>1.3377311652804886</v>
      </c>
      <c r="H35" s="18">
        <f t="shared" si="4"/>
        <v>1.3377311652804886</v>
      </c>
    </row>
    <row r="36" spans="2:8" x14ac:dyDescent="0.25">
      <c r="B36" s="19">
        <v>0.6</v>
      </c>
      <c r="C36" s="16">
        <f t="shared" si="5"/>
        <v>27.5</v>
      </c>
      <c r="D36" s="16" t="b">
        <f t="shared" si="2"/>
        <v>1</v>
      </c>
      <c r="E36" s="17">
        <f t="shared" si="0"/>
        <v>0.67073170731707321</v>
      </c>
      <c r="F36" s="16">
        <f t="shared" si="6"/>
        <v>4.1303288283536581</v>
      </c>
      <c r="G36" s="16">
        <f t="shared" si="3"/>
        <v>1.5107101756463424</v>
      </c>
      <c r="H36" s="18">
        <f t="shared" si="4"/>
        <v>1.5107101756463424</v>
      </c>
    </row>
    <row r="37" spans="2:8" x14ac:dyDescent="0.25">
      <c r="B37" s="19">
        <v>0.7</v>
      </c>
      <c r="C37" s="16">
        <f t="shared" si="5"/>
        <v>24.5</v>
      </c>
      <c r="D37" s="16" t="b">
        <f t="shared" si="2"/>
        <v>1</v>
      </c>
      <c r="E37" s="17">
        <f t="shared" si="0"/>
        <v>0.59756097560975607</v>
      </c>
      <c r="F37" s="16">
        <f t="shared" si="6"/>
        <v>3.9573498179878048</v>
      </c>
      <c r="G37" s="16">
        <f t="shared" si="3"/>
        <v>1.6836891860121956</v>
      </c>
      <c r="H37" s="18">
        <f t="shared" si="4"/>
        <v>1.6836891860121956</v>
      </c>
    </row>
    <row r="38" spans="2:8" x14ac:dyDescent="0.25">
      <c r="B38" s="19">
        <v>0.8</v>
      </c>
      <c r="C38" s="16">
        <f t="shared" si="5"/>
        <v>21.5</v>
      </c>
      <c r="D38" s="16" t="b">
        <f t="shared" si="2"/>
        <v>1</v>
      </c>
      <c r="E38" s="17">
        <f t="shared" si="0"/>
        <v>0.52439024390243905</v>
      </c>
      <c r="F38" s="16">
        <f t="shared" si="6"/>
        <v>3.7843708076219511</v>
      </c>
      <c r="G38" s="16">
        <f t="shared" si="3"/>
        <v>1.8566681963780494</v>
      </c>
      <c r="H38" s="18">
        <f t="shared" si="4"/>
        <v>1.8566681963780494</v>
      </c>
    </row>
    <row r="39" spans="2:8" x14ac:dyDescent="0.25">
      <c r="B39" s="19">
        <v>0.9</v>
      </c>
      <c r="C39" s="16">
        <f t="shared" si="5"/>
        <v>18.5</v>
      </c>
      <c r="D39" s="16" t="b">
        <f t="shared" si="2"/>
        <v>1</v>
      </c>
      <c r="E39" s="17">
        <f t="shared" si="0"/>
        <v>0.45121951219512196</v>
      </c>
      <c r="F39" s="16">
        <f t="shared" si="6"/>
        <v>3.6113917972560978</v>
      </c>
      <c r="G39" s="16">
        <f t="shared" si="3"/>
        <v>2.0296472067439026</v>
      </c>
      <c r="H39" s="18">
        <f t="shared" si="4"/>
        <v>2.0106176000000002</v>
      </c>
    </row>
    <row r="40" spans="2:8" ht="15.75" thickBot="1" x14ac:dyDescent="0.3">
      <c r="B40" s="20">
        <v>1</v>
      </c>
      <c r="C40" s="21">
        <f t="shared" si="5"/>
        <v>15.5</v>
      </c>
      <c r="D40" s="21" t="b">
        <f t="shared" si="2"/>
        <v>1</v>
      </c>
      <c r="E40" s="22">
        <f t="shared" si="0"/>
        <v>0.37804878048780488</v>
      </c>
      <c r="F40" s="21">
        <f t="shared" si="6"/>
        <v>3.4384127868902441</v>
      </c>
      <c r="G40" s="21">
        <f t="shared" si="3"/>
        <v>2.2026262171097564</v>
      </c>
      <c r="H40" s="23">
        <f t="shared" si="4"/>
        <v>2.0106176000000002</v>
      </c>
    </row>
    <row r="42" spans="2:8" ht="15.75" thickBot="1" x14ac:dyDescent="0.3"/>
    <row r="43" spans="2:8" x14ac:dyDescent="0.25">
      <c r="B43" s="11" t="s">
        <v>39</v>
      </c>
      <c r="C43" s="12" t="s">
        <v>29</v>
      </c>
      <c r="D43" s="12" t="s">
        <v>30</v>
      </c>
      <c r="E43" s="12" t="s">
        <v>32</v>
      </c>
      <c r="F43" s="12" t="s">
        <v>31</v>
      </c>
      <c r="G43" s="12" t="s">
        <v>36</v>
      </c>
      <c r="H43" s="13" t="s">
        <v>37</v>
      </c>
    </row>
    <row r="44" spans="2:8" x14ac:dyDescent="0.25">
      <c r="B44" s="14" t="s">
        <v>28</v>
      </c>
      <c r="C44" s="15">
        <f>E20-E21</f>
        <v>45.5</v>
      </c>
      <c r="D44" s="16" t="b">
        <f>C44&lt;$E$19</f>
        <v>0</v>
      </c>
      <c r="E44" s="17">
        <f>C44/$E$19</f>
        <v>1.0833333333333333</v>
      </c>
      <c r="F44" s="16">
        <f>IF(D44=FALSE,$E$23,($E$24+(E44*$E$25)))</f>
        <v>4.9087343749999999</v>
      </c>
      <c r="G44" s="16">
        <f>$E$12-F44</f>
        <v>0.7323046290000006</v>
      </c>
      <c r="H44" s="24">
        <f>MIN(G44,$E$27)</f>
        <v>0.7323046290000006</v>
      </c>
    </row>
    <row r="45" spans="2:8" x14ac:dyDescent="0.25">
      <c r="B45" s="19">
        <v>0.1</v>
      </c>
      <c r="C45" s="16">
        <f>$C$44-(B45*30)</f>
        <v>42.5</v>
      </c>
      <c r="D45" s="16" t="b">
        <f t="shared" ref="D45:D54" si="7">C45&lt;$E$19</f>
        <v>0</v>
      </c>
      <c r="E45" s="17">
        <f t="shared" ref="E45:E54" si="8">C45/$E$19</f>
        <v>1.0119047619047619</v>
      </c>
      <c r="F45" s="16">
        <f t="shared" ref="F45:F54" si="9">IF(D45=FALSE,$E$23,($E$24+(E45*$E$25)))</f>
        <v>4.9087343749999999</v>
      </c>
      <c r="G45" s="16">
        <f t="shared" ref="G45:G54" si="10">$E$12-F45</f>
        <v>0.7323046290000006</v>
      </c>
      <c r="H45" s="18">
        <f t="shared" ref="H45:H54" si="11">MIN(G45,$E$27)</f>
        <v>0.7323046290000006</v>
      </c>
    </row>
    <row r="46" spans="2:8" x14ac:dyDescent="0.25">
      <c r="B46" s="19">
        <v>0.25</v>
      </c>
      <c r="C46" s="16">
        <f t="shared" ref="C46:C54" si="12">$C$44-(B46*30)</f>
        <v>38</v>
      </c>
      <c r="D46" s="16" t="b">
        <f t="shared" si="7"/>
        <v>1</v>
      </c>
      <c r="E46" s="17">
        <f t="shared" si="8"/>
        <v>0.90476190476190477</v>
      </c>
      <c r="F46" s="16">
        <f t="shared" si="9"/>
        <v>4.6835870916666664</v>
      </c>
      <c r="G46" s="16">
        <f t="shared" si="10"/>
        <v>0.95745191233333404</v>
      </c>
      <c r="H46" s="18">
        <f t="shared" si="11"/>
        <v>0.95745191233333404</v>
      </c>
    </row>
    <row r="47" spans="2:8" x14ac:dyDescent="0.25">
      <c r="B47" s="19">
        <v>0.3</v>
      </c>
      <c r="C47" s="16">
        <f t="shared" si="12"/>
        <v>36.5</v>
      </c>
      <c r="D47" s="16" t="b">
        <f t="shared" si="7"/>
        <v>1</v>
      </c>
      <c r="E47" s="17">
        <f t="shared" si="8"/>
        <v>0.86904761904761907</v>
      </c>
      <c r="F47" s="16">
        <f t="shared" si="9"/>
        <v>4.5991568604166666</v>
      </c>
      <c r="G47" s="16">
        <f t="shared" si="10"/>
        <v>1.0418821435833339</v>
      </c>
      <c r="H47" s="18">
        <f t="shared" si="11"/>
        <v>1.0418821435833339</v>
      </c>
    </row>
    <row r="48" spans="2:8" x14ac:dyDescent="0.25">
      <c r="B48" s="19">
        <v>0.4</v>
      </c>
      <c r="C48" s="16">
        <f t="shared" si="12"/>
        <v>33.5</v>
      </c>
      <c r="D48" s="16" t="b">
        <f t="shared" si="7"/>
        <v>1</v>
      </c>
      <c r="E48" s="17">
        <f t="shared" si="8"/>
        <v>0.79761904761904767</v>
      </c>
      <c r="F48" s="16">
        <f t="shared" si="9"/>
        <v>4.430296397916667</v>
      </c>
      <c r="G48" s="16">
        <f t="shared" si="10"/>
        <v>1.2107426060833335</v>
      </c>
      <c r="H48" s="18">
        <f t="shared" si="11"/>
        <v>1.2107426060833335</v>
      </c>
    </row>
    <row r="49" spans="2:8" x14ac:dyDescent="0.25">
      <c r="B49" s="19">
        <v>0.5</v>
      </c>
      <c r="C49" s="16">
        <f t="shared" si="12"/>
        <v>30.5</v>
      </c>
      <c r="D49" s="16" t="b">
        <f t="shared" si="7"/>
        <v>1</v>
      </c>
      <c r="E49" s="17">
        <f t="shared" si="8"/>
        <v>0.72619047619047616</v>
      </c>
      <c r="F49" s="16">
        <f t="shared" si="9"/>
        <v>4.2614359354166664</v>
      </c>
      <c r="G49" s="16">
        <f t="shared" si="10"/>
        <v>1.379603068583334</v>
      </c>
      <c r="H49" s="18">
        <f t="shared" si="11"/>
        <v>1.379603068583334</v>
      </c>
    </row>
    <row r="50" spans="2:8" x14ac:dyDescent="0.25">
      <c r="B50" s="19">
        <v>0.6</v>
      </c>
      <c r="C50" s="16">
        <f t="shared" si="12"/>
        <v>27.5</v>
      </c>
      <c r="D50" s="16" t="b">
        <f t="shared" si="7"/>
        <v>1</v>
      </c>
      <c r="E50" s="17">
        <f t="shared" si="8"/>
        <v>0.65476190476190477</v>
      </c>
      <c r="F50" s="16">
        <f t="shared" si="9"/>
        <v>4.0925754729166668</v>
      </c>
      <c r="G50" s="16">
        <f t="shared" si="10"/>
        <v>1.5484635310833337</v>
      </c>
      <c r="H50" s="18">
        <f t="shared" si="11"/>
        <v>1.5484635310833337</v>
      </c>
    </row>
    <row r="51" spans="2:8" x14ac:dyDescent="0.25">
      <c r="B51" s="19">
        <v>0.7</v>
      </c>
      <c r="C51" s="16">
        <f t="shared" si="12"/>
        <v>24.5</v>
      </c>
      <c r="D51" s="16" t="b">
        <f t="shared" si="7"/>
        <v>1</v>
      </c>
      <c r="E51" s="17">
        <f t="shared" si="8"/>
        <v>0.58333333333333337</v>
      </c>
      <c r="F51" s="16">
        <f t="shared" si="9"/>
        <v>3.9237150104166667</v>
      </c>
      <c r="G51" s="16">
        <f t="shared" si="10"/>
        <v>1.7173239935833338</v>
      </c>
      <c r="H51" s="18">
        <f t="shared" si="11"/>
        <v>1.7173239935833338</v>
      </c>
    </row>
    <row r="52" spans="2:8" x14ac:dyDescent="0.25">
      <c r="B52" s="19">
        <v>0.8</v>
      </c>
      <c r="C52" s="16">
        <f t="shared" si="12"/>
        <v>21.5</v>
      </c>
      <c r="D52" s="16" t="b">
        <f t="shared" si="7"/>
        <v>1</v>
      </c>
      <c r="E52" s="17">
        <f t="shared" si="8"/>
        <v>0.51190476190476186</v>
      </c>
      <c r="F52" s="16">
        <f t="shared" si="9"/>
        <v>3.7548545479166666</v>
      </c>
      <c r="G52" s="16">
        <f t="shared" si="10"/>
        <v>1.8861844560833338</v>
      </c>
      <c r="H52" s="18">
        <f t="shared" si="11"/>
        <v>1.8861844560833338</v>
      </c>
    </row>
    <row r="53" spans="2:8" x14ac:dyDescent="0.25">
      <c r="B53" s="19">
        <v>0.9</v>
      </c>
      <c r="C53" s="16">
        <f t="shared" si="12"/>
        <v>18.5</v>
      </c>
      <c r="D53" s="16" t="b">
        <f t="shared" si="7"/>
        <v>1</v>
      </c>
      <c r="E53" s="17">
        <f t="shared" si="8"/>
        <v>0.44047619047619047</v>
      </c>
      <c r="F53" s="16">
        <f t="shared" si="9"/>
        <v>3.5859940854166665</v>
      </c>
      <c r="G53" s="16">
        <f t="shared" si="10"/>
        <v>2.0550449185833339</v>
      </c>
      <c r="H53" s="18">
        <f t="shared" si="11"/>
        <v>2.0106176000000002</v>
      </c>
    </row>
    <row r="54" spans="2:8" ht="15.75" thickBot="1" x14ac:dyDescent="0.3">
      <c r="B54" s="20">
        <v>1</v>
      </c>
      <c r="C54" s="21">
        <f t="shared" si="12"/>
        <v>15.5</v>
      </c>
      <c r="D54" s="21" t="b">
        <f t="shared" si="7"/>
        <v>1</v>
      </c>
      <c r="E54" s="22">
        <f t="shared" si="8"/>
        <v>0.36904761904761907</v>
      </c>
      <c r="F54" s="21">
        <f t="shared" si="9"/>
        <v>3.4171336229166664</v>
      </c>
      <c r="G54" s="21">
        <f t="shared" si="10"/>
        <v>2.223905381083334</v>
      </c>
      <c r="H54" s="23">
        <f t="shared" si="11"/>
        <v>2.0106176000000002</v>
      </c>
    </row>
  </sheetData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792303E-7F1D-4AB4-9E7D-6479F8427D59}">
          <x14:formula1>
            <xm:f>Attributes!$B$1:$C$1</xm:f>
          </x14:formula1>
          <xm:sqref>C2 E2</xm:sqref>
        </x14:dataValidation>
        <x14:dataValidation type="list" allowBlank="1" showInputMessage="1" showErrorMessage="1" xr:uid="{322926B5-8F60-4851-9F1A-1DCC5C91EA62}">
          <x14:formula1>
            <xm:f>Attributes!$A$5:$A$266</xm:f>
          </x14:formula1>
          <xm:sqref>C5 E5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53788-AAC0-409A-969E-19524AA79314}">
  <dimension ref="A1:E6"/>
  <sheetViews>
    <sheetView workbookViewId="0">
      <selection activeCell="B4" sqref="B4:E4"/>
    </sheetView>
  </sheetViews>
  <sheetFormatPr defaultRowHeight="15" x14ac:dyDescent="0.25"/>
  <cols>
    <col min="4" max="4" width="13.7109375" bestFit="1" customWidth="1"/>
    <col min="5" max="5" width="16.42578125" bestFit="1" customWidth="1"/>
  </cols>
  <sheetData>
    <row r="1" spans="1:5" x14ac:dyDescent="0.25">
      <c r="A1" t="s">
        <v>5</v>
      </c>
      <c r="B1" t="s">
        <v>2</v>
      </c>
      <c r="C1" t="s">
        <v>3</v>
      </c>
    </row>
    <row r="4" spans="1:5" x14ac:dyDescent="0.25">
      <c r="A4" t="s">
        <v>6</v>
      </c>
      <c r="B4" t="s">
        <v>8</v>
      </c>
      <c r="C4" t="s">
        <v>11</v>
      </c>
      <c r="D4" t="s">
        <v>12</v>
      </c>
      <c r="E4" t="s">
        <v>10</v>
      </c>
    </row>
    <row r="5" spans="1:5" x14ac:dyDescent="0.25">
      <c r="A5" t="s">
        <v>7</v>
      </c>
      <c r="B5">
        <v>73.5</v>
      </c>
      <c r="C5">
        <v>2.52</v>
      </c>
      <c r="D5" s="3">
        <v>1.8</v>
      </c>
      <c r="E5">
        <v>41</v>
      </c>
    </row>
    <row r="6" spans="1:5" x14ac:dyDescent="0.25">
      <c r="A6" t="s">
        <v>9</v>
      </c>
      <c r="B6">
        <v>73.5</v>
      </c>
      <c r="C6" s="3">
        <v>2.5</v>
      </c>
      <c r="D6" s="3">
        <v>1.8</v>
      </c>
      <c r="E6">
        <v>42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Graph</vt:lpstr>
      <vt:lpstr>Calculation</vt:lpstr>
      <vt:lpstr>Attributes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2023-01-04T18:15:31Z</dcterms:modified>
</cp:coreProperties>
</file>